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35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3" i="1"/>
  <c r="G46" s="1"/>
  <c r="C43"/>
  <c r="C49" s="1"/>
  <c r="G42"/>
  <c r="G45" s="1"/>
  <c r="G47" s="1"/>
  <c r="C32"/>
  <c r="C31"/>
  <c r="C30"/>
  <c r="C29"/>
  <c r="G48" l="1"/>
  <c r="C46"/>
  <c r="G49"/>
  <c r="G50"/>
  <c r="C33"/>
  <c r="C37" s="1"/>
  <c r="G44"/>
  <c r="C36" l="1"/>
  <c r="C35"/>
  <c r="G52"/>
  <c r="G54" s="1"/>
  <c r="C34"/>
  <c r="C38" l="1"/>
  <c r="C41" s="1"/>
  <c r="C39"/>
  <c r="G53"/>
  <c r="C42" l="1"/>
  <c r="C50" s="1"/>
  <c r="C40"/>
  <c r="G55"/>
  <c r="C45" l="1"/>
  <c r="C44"/>
  <c r="C47"/>
  <c r="C48"/>
  <c r="C52"/>
  <c r="C54" s="1"/>
  <c r="C53" l="1"/>
  <c r="C55"/>
  <c r="E47"/>
  <c r="E55" l="1"/>
  <c r="C56"/>
  <c r="E56" s="1"/>
  <c r="F58" s="1"/>
</calcChain>
</file>

<file path=xl/sharedStrings.xml><?xml version="1.0" encoding="utf-8"?>
<sst xmlns="http://schemas.openxmlformats.org/spreadsheetml/2006/main" count="66" uniqueCount="61">
  <si>
    <t>Расчет коэффициента шума полевого транзистора</t>
  </si>
  <si>
    <t>Константы:</t>
  </si>
  <si>
    <t>q, к</t>
  </si>
  <si>
    <t>k, дж/к</t>
  </si>
  <si>
    <t>4k(t+273)=</t>
  </si>
  <si>
    <t>Справочные (исходные) данные</t>
  </si>
  <si>
    <t>Значение параметра</t>
  </si>
  <si>
    <t>Наименование транзистора</t>
  </si>
  <si>
    <t>MRF137</t>
  </si>
  <si>
    <t>Частота f, МГц</t>
  </si>
  <si>
    <r>
      <t>Входная емкость C</t>
    </r>
    <r>
      <rPr>
        <vertAlign val="subscript"/>
        <sz val="14"/>
        <color theme="1"/>
        <rFont val="Arial"/>
        <family val="2"/>
        <charset val="204"/>
      </rPr>
      <t>iss</t>
    </r>
    <r>
      <rPr>
        <sz val="14"/>
        <color theme="1"/>
        <rFont val="Arial"/>
        <family val="2"/>
        <charset val="204"/>
      </rPr>
      <t>, пФ</t>
    </r>
  </si>
  <si>
    <r>
      <t>Оптимальное сопротивление нагрузки Z</t>
    </r>
    <r>
      <rPr>
        <vertAlign val="subscript"/>
        <sz val="14"/>
        <color theme="1"/>
        <rFont val="Arial"/>
        <family val="2"/>
        <charset val="204"/>
      </rPr>
      <t>oL</t>
    </r>
    <r>
      <rPr>
        <sz val="14"/>
        <color theme="1"/>
        <rFont val="Arial"/>
        <family val="2"/>
        <charset val="204"/>
      </rPr>
      <t>, Ом</t>
    </r>
  </si>
  <si>
    <t>Активная составляющая</t>
  </si>
  <si>
    <t>Реактивная составляющая</t>
  </si>
  <si>
    <t>S-параметры на частоте f:</t>
  </si>
  <si>
    <r>
      <t>S</t>
    </r>
    <r>
      <rPr>
        <vertAlign val="subscript"/>
        <sz val="14"/>
        <color theme="1"/>
        <rFont val="Arial"/>
        <family val="2"/>
        <charset val="204"/>
      </rPr>
      <t>11</t>
    </r>
  </si>
  <si>
    <r>
      <t>|S</t>
    </r>
    <r>
      <rPr>
        <vertAlign val="subscript"/>
        <sz val="14"/>
        <color theme="1"/>
        <rFont val="Arial"/>
        <family val="2"/>
        <charset val="204"/>
      </rPr>
      <t>11</t>
    </r>
    <r>
      <rPr>
        <sz val="14"/>
        <color theme="1"/>
        <rFont val="Arial"/>
        <family val="2"/>
        <charset val="204"/>
      </rPr>
      <t>|</t>
    </r>
  </si>
  <si>
    <t>Ðf</t>
  </si>
  <si>
    <r>
      <t>S</t>
    </r>
    <r>
      <rPr>
        <vertAlign val="subscript"/>
        <sz val="14"/>
        <color theme="1"/>
        <rFont val="Arial"/>
        <family val="2"/>
        <charset val="204"/>
      </rPr>
      <t>21</t>
    </r>
  </si>
  <si>
    <r>
      <t>|S</t>
    </r>
    <r>
      <rPr>
        <vertAlign val="subscript"/>
        <sz val="14"/>
        <color theme="1"/>
        <rFont val="Arial"/>
        <family val="2"/>
        <charset val="204"/>
      </rPr>
      <t>21</t>
    </r>
    <r>
      <rPr>
        <sz val="14"/>
        <color theme="1"/>
        <rFont val="Arial"/>
        <family val="2"/>
        <charset val="204"/>
      </rPr>
      <t>|</t>
    </r>
  </si>
  <si>
    <r>
      <t>S</t>
    </r>
    <r>
      <rPr>
        <vertAlign val="subscript"/>
        <sz val="14"/>
        <color theme="1"/>
        <rFont val="Arial"/>
        <family val="2"/>
        <charset val="204"/>
      </rPr>
      <t>12</t>
    </r>
  </si>
  <si>
    <r>
      <t>|S</t>
    </r>
    <r>
      <rPr>
        <vertAlign val="subscript"/>
        <sz val="14"/>
        <color theme="1"/>
        <rFont val="Arial"/>
        <family val="2"/>
        <charset val="204"/>
      </rPr>
      <t>12</t>
    </r>
    <r>
      <rPr>
        <sz val="14"/>
        <color theme="1"/>
        <rFont val="Arial"/>
        <family val="2"/>
        <charset val="204"/>
      </rPr>
      <t>|</t>
    </r>
  </si>
  <si>
    <r>
      <t>S</t>
    </r>
    <r>
      <rPr>
        <vertAlign val="subscript"/>
        <sz val="14"/>
        <color theme="1"/>
        <rFont val="Arial"/>
        <family val="2"/>
        <charset val="204"/>
      </rPr>
      <t>22</t>
    </r>
  </si>
  <si>
    <r>
      <t>|S</t>
    </r>
    <r>
      <rPr>
        <vertAlign val="subscript"/>
        <sz val="14"/>
        <color theme="1"/>
        <rFont val="Arial"/>
        <family val="2"/>
        <charset val="204"/>
      </rPr>
      <t>22</t>
    </r>
    <r>
      <rPr>
        <sz val="14"/>
        <color theme="1"/>
        <rFont val="Arial"/>
        <family val="2"/>
        <charset val="204"/>
      </rPr>
      <t>|</t>
    </r>
  </si>
  <si>
    <t>Волновое сопротивление системы измерения S-параметров, Ом</t>
  </si>
  <si>
    <r>
      <t>Ток утечки затвора I</t>
    </r>
    <r>
      <rPr>
        <vertAlign val="subscript"/>
        <sz val="14"/>
        <color theme="1"/>
        <rFont val="Arial"/>
        <family val="2"/>
        <charset val="204"/>
      </rPr>
      <t xml:space="preserve">GSS, </t>
    </r>
    <r>
      <rPr>
        <sz val="14"/>
        <color theme="1"/>
        <rFont val="Arial"/>
        <family val="2"/>
        <charset val="204"/>
      </rPr>
      <t xml:space="preserve">мкА </t>
    </r>
  </si>
  <si>
    <r>
      <t xml:space="preserve">Температура окружающей среды, </t>
    </r>
    <r>
      <rPr>
        <vertAlign val="superscript"/>
        <sz val="14"/>
        <color theme="1"/>
        <rFont val="Arial"/>
        <family val="2"/>
        <charset val="204"/>
      </rPr>
      <t>0</t>
    </r>
    <r>
      <rPr>
        <sz val="14"/>
        <color theme="1"/>
        <rFont val="Arial"/>
        <family val="2"/>
        <charset val="204"/>
      </rPr>
      <t>С</t>
    </r>
  </si>
  <si>
    <t>Расчет</t>
  </si>
  <si>
    <r>
      <t>S</t>
    </r>
    <r>
      <rPr>
        <vertAlign val="subscript"/>
        <sz val="10"/>
        <color theme="1"/>
        <rFont val="Arial"/>
        <family val="2"/>
        <charset val="204"/>
      </rPr>
      <t>11</t>
    </r>
  </si>
  <si>
    <r>
      <t>S</t>
    </r>
    <r>
      <rPr>
        <vertAlign val="subscript"/>
        <sz val="10"/>
        <color theme="1"/>
        <rFont val="Arial"/>
        <family val="2"/>
        <charset val="204"/>
      </rPr>
      <t>21</t>
    </r>
  </si>
  <si>
    <r>
      <t>S</t>
    </r>
    <r>
      <rPr>
        <vertAlign val="subscript"/>
        <sz val="10"/>
        <color theme="1"/>
        <rFont val="Arial"/>
        <family val="2"/>
        <charset val="204"/>
      </rPr>
      <t>12</t>
    </r>
  </si>
  <si>
    <r>
      <t>S</t>
    </r>
    <r>
      <rPr>
        <vertAlign val="subscript"/>
        <sz val="10"/>
        <color theme="1"/>
        <rFont val="Arial"/>
        <family val="2"/>
        <charset val="204"/>
      </rPr>
      <t>22</t>
    </r>
  </si>
  <si>
    <r>
      <rPr>
        <sz val="14"/>
        <color theme="1"/>
        <rFont val="Symbol"/>
        <family val="1"/>
        <charset val="2"/>
      </rPr>
      <t>D</t>
    </r>
    <r>
      <rPr>
        <vertAlign val="subscript"/>
        <sz val="9.8000000000000007"/>
        <color theme="1"/>
        <rFont val="Arial"/>
        <family val="2"/>
        <charset val="204"/>
      </rPr>
      <t>S</t>
    </r>
  </si>
  <si>
    <r>
      <t>Y</t>
    </r>
    <r>
      <rPr>
        <vertAlign val="subscript"/>
        <sz val="10"/>
        <color theme="1"/>
        <rFont val="Arial"/>
        <family val="2"/>
        <charset val="204"/>
      </rPr>
      <t>11</t>
    </r>
  </si>
  <si>
    <r>
      <t>Y</t>
    </r>
    <r>
      <rPr>
        <vertAlign val="subscript"/>
        <sz val="10"/>
        <color theme="1"/>
        <rFont val="Arial"/>
        <family val="2"/>
        <charset val="204"/>
      </rPr>
      <t>22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</si>
  <si>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vertAlign val="subscript"/>
        <sz val="10"/>
        <color theme="1"/>
        <rFont val="Arial"/>
        <family val="2"/>
        <charset val="204"/>
      </rPr>
      <t>21</t>
    </r>
  </si>
  <si>
    <r>
      <t>Y</t>
    </r>
    <r>
      <rPr>
        <vertAlign val="subscript"/>
        <sz val="10"/>
        <color theme="1"/>
        <rFont val="Arial"/>
        <family val="2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</si>
  <si>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vertAlign val="subscript"/>
        <sz val="10"/>
        <color theme="1"/>
        <rFont val="Arial"/>
        <family val="2"/>
        <charset val="204"/>
      </rPr>
      <t>вх</t>
    </r>
  </si>
  <si>
    <r>
      <t>Y</t>
    </r>
    <r>
      <rPr>
        <vertAlign val="subscript"/>
        <sz val="10"/>
        <color theme="1"/>
        <rFont val="Arial"/>
        <family val="2"/>
        <charset val="204"/>
      </rPr>
      <t>вых</t>
    </r>
  </si>
  <si>
    <r>
      <t>G</t>
    </r>
    <r>
      <rPr>
        <vertAlign val="subscript"/>
        <sz val="10"/>
        <color theme="1"/>
        <rFont val="Arial"/>
        <family val="2"/>
        <charset val="204"/>
      </rPr>
      <t>S</t>
    </r>
  </si>
  <si>
    <r>
      <t>B</t>
    </r>
    <r>
      <rPr>
        <vertAlign val="subscript"/>
        <sz val="10"/>
        <color theme="1"/>
        <rFont val="Arial"/>
        <family val="2"/>
        <charset val="204"/>
      </rPr>
      <t>S</t>
    </r>
  </si>
  <si>
    <t>C, пФ</t>
  </si>
  <si>
    <r>
      <t>g</t>
    </r>
    <r>
      <rPr>
        <i/>
        <vertAlign val="subscript"/>
        <sz val="10"/>
        <rFont val="Times New Roman"/>
        <family val="1"/>
        <charset val="204"/>
      </rPr>
      <t xml:space="preserve">msat, </t>
    </r>
    <r>
      <rPr>
        <i/>
        <sz val="10"/>
        <rFont val="Times New Roman"/>
        <family val="1"/>
        <charset val="204"/>
      </rPr>
      <t>сим</t>
    </r>
  </si>
  <si>
    <t>(6)</t>
  </si>
  <si>
    <t>(7.1)</t>
  </si>
  <si>
    <t>(7.2)</t>
  </si>
  <si>
    <t>(8)</t>
  </si>
  <si>
    <t>дБ</t>
  </si>
  <si>
    <t>(9)</t>
  </si>
  <si>
    <t>(10)</t>
  </si>
  <si>
    <t>(11)</t>
  </si>
  <si>
    <t>(12.1)</t>
  </si>
  <si>
    <t>(12.2)</t>
  </si>
  <si>
    <t>(13.1)</t>
  </si>
  <si>
    <t>(13.2)</t>
  </si>
  <si>
    <t>(14)</t>
  </si>
  <si>
    <r>
      <t>К</t>
    </r>
    <r>
      <rPr>
        <vertAlign val="subscript"/>
        <sz val="10"/>
        <color theme="1"/>
        <rFont val="Arial"/>
        <family val="2"/>
        <charset val="204"/>
      </rPr>
      <t>шНВ</t>
    </r>
  </si>
  <si>
    <t>Результат расчета</t>
  </si>
  <si>
    <t>Коэффициент шума, дБ</t>
  </si>
  <si>
    <t>Автор:</t>
  </si>
  <si>
    <t>Пименов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</si>
</sst>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4"/>
      <color theme="1"/>
      <name val="Arial"/>
      <family val="2"/>
      <charset val="204"/>
    </font>
    <font>
      <vertAlign val="subscript"/>
      <sz val="14"/>
      <color theme="1"/>
      <name val="Arial"/>
      <family val="2"/>
      <charset val="204"/>
    </font>
    <font>
      <sz val="14"/>
      <color theme="1"/>
      <name val="Symbol"/>
      <family val="1"/>
      <charset val="2"/>
    </font>
    <font>
      <vertAlign val="superscript"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9.8000000000000007"/>
      <color theme="1"/>
      <name val="Arial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bscript"/>
      <sz val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gradientFill degree="90">
        <stop position="0">
          <color theme="6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2" fillId="2" borderId="3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2" applyFont="1" applyFill="1" applyBorder="1"/>
    <xf numFmtId="0" fontId="6" fillId="0" borderId="0" xfId="0" applyFont="1"/>
    <xf numFmtId="0" fontId="5" fillId="0" borderId="0" xfId="3" applyFont="1" applyBorder="1" applyAlignment="1">
      <alignment horizontal="right"/>
    </xf>
    <xf numFmtId="0" fontId="4" fillId="0" borderId="0" xfId="4" applyFont="1" applyBorder="1"/>
    <xf numFmtId="0" fontId="1" fillId="3" borderId="1" xfId="0" applyFont="1" applyFill="1" applyBorder="1"/>
    <xf numFmtId="0" fontId="6" fillId="3" borderId="2" xfId="0" applyFont="1" applyFill="1" applyBorder="1"/>
    <xf numFmtId="0" fontId="6" fillId="4" borderId="7" xfId="0" applyFont="1" applyFill="1" applyBorder="1"/>
    <xf numFmtId="0" fontId="6" fillId="4" borderId="0" xfId="0" applyFont="1" applyFill="1" applyBorder="1"/>
    <xf numFmtId="0" fontId="1" fillId="4" borderId="0" xfId="0" applyFont="1" applyFill="1" applyBorder="1"/>
    <xf numFmtId="0" fontId="6" fillId="4" borderId="8" xfId="0" applyFont="1" applyFill="1" applyBorder="1"/>
    <xf numFmtId="0" fontId="6" fillId="4" borderId="0" xfId="0" applyFont="1" applyFill="1" applyBorder="1" applyAlignment="1" applyProtection="1">
      <alignment horizontal="right"/>
      <protection locked="0"/>
    </xf>
    <xf numFmtId="0" fontId="6" fillId="4" borderId="0" xfId="0" applyFont="1" applyFill="1" applyBorder="1" applyProtection="1">
      <protection locked="0"/>
    </xf>
    <xf numFmtId="0" fontId="8" fillId="4" borderId="0" xfId="0" applyFont="1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5" xfId="0" applyFont="1" applyFill="1" applyBorder="1" applyProtection="1">
      <protection locked="0"/>
    </xf>
    <xf numFmtId="0" fontId="6" fillId="4" borderId="6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10" fillId="2" borderId="7" xfId="0" applyFont="1" applyFill="1" applyBorder="1"/>
    <xf numFmtId="0" fontId="6" fillId="2" borderId="0" xfId="0" applyFont="1" applyFill="1" applyBorder="1"/>
    <xf numFmtId="0" fontId="6" fillId="2" borderId="8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/>
    <xf numFmtId="0" fontId="6" fillId="2" borderId="7" xfId="0" applyFont="1" applyFill="1" applyBorder="1" applyAlignment="1">
      <alignment horizontal="center"/>
    </xf>
    <xf numFmtId="0" fontId="13" fillId="2" borderId="0" xfId="5" applyFont="1" applyFill="1" applyBorder="1"/>
    <xf numFmtId="2" fontId="13" fillId="2" borderId="0" xfId="5" applyNumberFormat="1" applyFont="1" applyFill="1" applyBorder="1"/>
    <xf numFmtId="2" fontId="13" fillId="2" borderId="8" xfId="5" applyNumberFormat="1" applyFont="1" applyFill="1" applyBorder="1"/>
    <xf numFmtId="0" fontId="10" fillId="2" borderId="8" xfId="0" applyFont="1" applyFill="1" applyBorder="1"/>
    <xf numFmtId="0" fontId="14" fillId="2" borderId="7" xfId="6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8" xfId="0" applyFont="1" applyFill="1" applyBorder="1"/>
    <xf numFmtId="49" fontId="10" fillId="2" borderId="7" xfId="0" applyNumberFormat="1" applyFont="1" applyFill="1" applyBorder="1"/>
    <xf numFmtId="0" fontId="17" fillId="2" borderId="8" xfId="0" applyFont="1" applyFill="1" applyBorder="1"/>
    <xf numFmtId="0" fontId="1" fillId="2" borderId="8" xfId="0" applyFont="1" applyFill="1" applyBorder="1" applyAlignment="1"/>
    <xf numFmtId="49" fontId="6" fillId="2" borderId="4" xfId="0" applyNumberFormat="1" applyFont="1" applyFill="1" applyBorder="1"/>
    <xf numFmtId="0" fontId="6" fillId="2" borderId="5" xfId="0" applyFont="1" applyFill="1" applyBorder="1"/>
    <xf numFmtId="0" fontId="10" fillId="2" borderId="5" xfId="0" applyFont="1" applyFill="1" applyBorder="1"/>
    <xf numFmtId="164" fontId="6" fillId="2" borderId="5" xfId="0" applyNumberFormat="1" applyFont="1" applyFill="1" applyBorder="1" applyProtection="1">
      <protection hidden="1"/>
    </xf>
    <xf numFmtId="0" fontId="10" fillId="2" borderId="6" xfId="0" applyFont="1" applyFill="1" applyBorder="1"/>
    <xf numFmtId="0" fontId="17" fillId="0" borderId="0" xfId="0" applyFont="1" applyAlignment="1">
      <alignment horizontal="right"/>
    </xf>
    <xf numFmtId="0" fontId="17" fillId="0" borderId="0" xfId="0" applyFont="1"/>
    <xf numFmtId="0" fontId="6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3"/>
    <cellStyle name="Обычный 6" xfId="5"/>
    <cellStyle name="Обычный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Normal="100" workbookViewId="0">
      <selection activeCell="L58" sqref="L58"/>
    </sheetView>
  </sheetViews>
  <sheetFormatPr defaultRowHeight="15"/>
  <cols>
    <col min="1" max="1" width="31.5703125" customWidth="1"/>
  </cols>
  <sheetData>
    <row r="1" spans="1:7" ht="18">
      <c r="A1" s="54" t="s">
        <v>0</v>
      </c>
      <c r="B1" s="55"/>
      <c r="C1" s="55"/>
      <c r="D1" s="55"/>
      <c r="E1" s="55"/>
      <c r="F1" s="55"/>
      <c r="G1" s="1"/>
    </row>
    <row r="2" spans="1:7" ht="18.75" thickBot="1">
      <c r="A2" s="2"/>
      <c r="B2" s="3"/>
      <c r="C2" s="3"/>
      <c r="D2" s="3"/>
      <c r="E2" s="3"/>
      <c r="F2" s="3"/>
      <c r="G2" s="4"/>
    </row>
    <row r="3" spans="1:7" ht="18" hidden="1">
      <c r="A3" s="5" t="s">
        <v>1</v>
      </c>
      <c r="B3" s="6"/>
      <c r="C3" s="6"/>
      <c r="D3" s="6"/>
      <c r="E3" s="6"/>
      <c r="F3" s="6"/>
      <c r="G3" s="6"/>
    </row>
    <row r="4" spans="1:7" ht="18" hidden="1">
      <c r="A4" s="7" t="s">
        <v>2</v>
      </c>
      <c r="B4" s="8"/>
      <c r="C4" s="8"/>
      <c r="D4" s="8"/>
      <c r="E4" s="8"/>
      <c r="F4" s="9">
        <v>1.6009999999999999E-19</v>
      </c>
      <c r="G4" s="10"/>
    </row>
    <row r="5" spans="1:7" ht="18" hidden="1">
      <c r="A5" s="7" t="s">
        <v>3</v>
      </c>
      <c r="B5" s="8"/>
      <c r="C5" s="8"/>
      <c r="D5" s="8"/>
      <c r="E5" s="8"/>
      <c r="F5" s="9">
        <v>1.3800000000000001E-23</v>
      </c>
      <c r="G5" s="10"/>
    </row>
    <row r="6" spans="1:7" ht="18" hidden="1">
      <c r="A6" s="11" t="s">
        <v>4</v>
      </c>
      <c r="B6" s="8"/>
      <c r="C6" s="8"/>
      <c r="D6" s="8"/>
      <c r="E6" s="8"/>
      <c r="F6" s="12">
        <v>1.64496E-20</v>
      </c>
      <c r="G6" s="10"/>
    </row>
    <row r="7" spans="1:7" ht="18.75" hidden="1" thickBot="1">
      <c r="A7" s="10"/>
      <c r="B7" s="10"/>
      <c r="C7" s="10"/>
      <c r="D7" s="10"/>
      <c r="E7" s="10"/>
      <c r="F7" s="10"/>
      <c r="G7" s="10"/>
    </row>
    <row r="8" spans="1:7" ht="18">
      <c r="A8" s="13" t="s">
        <v>5</v>
      </c>
      <c r="B8" s="14"/>
      <c r="C8" s="14"/>
      <c r="D8" s="14"/>
      <c r="E8" s="14"/>
      <c r="F8" s="56" t="s">
        <v>6</v>
      </c>
      <c r="G8" s="57"/>
    </row>
    <row r="9" spans="1:7" ht="18">
      <c r="A9" s="15"/>
      <c r="B9" s="16"/>
      <c r="C9" s="16"/>
      <c r="D9" s="16"/>
      <c r="E9" s="16"/>
      <c r="F9" s="17"/>
      <c r="G9" s="18"/>
    </row>
    <row r="10" spans="1:7" ht="18">
      <c r="A10" s="15" t="s">
        <v>7</v>
      </c>
      <c r="B10" s="16"/>
      <c r="C10" s="16"/>
      <c r="D10" s="16"/>
      <c r="E10" s="16"/>
      <c r="F10" s="19" t="s">
        <v>8</v>
      </c>
      <c r="G10" s="18"/>
    </row>
    <row r="11" spans="1:7" ht="18">
      <c r="A11" s="15" t="s">
        <v>9</v>
      </c>
      <c r="B11" s="16"/>
      <c r="C11" s="16"/>
      <c r="D11" s="16"/>
      <c r="E11" s="16"/>
      <c r="F11" s="20">
        <v>150</v>
      </c>
      <c r="G11" s="18"/>
    </row>
    <row r="12" spans="1:7" ht="21">
      <c r="A12" s="15" t="s">
        <v>10</v>
      </c>
      <c r="B12" s="16"/>
      <c r="C12" s="16"/>
      <c r="D12" s="16"/>
      <c r="E12" s="16"/>
      <c r="F12" s="20">
        <v>48</v>
      </c>
      <c r="G12" s="18"/>
    </row>
    <row r="13" spans="1:7" ht="18">
      <c r="A13" s="58" t="s">
        <v>11</v>
      </c>
      <c r="B13" s="59"/>
      <c r="C13" s="59" t="s">
        <v>12</v>
      </c>
      <c r="D13" s="59"/>
      <c r="E13" s="59"/>
      <c r="F13" s="20">
        <v>5.75</v>
      </c>
      <c r="G13" s="18"/>
    </row>
    <row r="14" spans="1:7" ht="18">
      <c r="A14" s="58"/>
      <c r="B14" s="59"/>
      <c r="C14" s="59" t="s">
        <v>13</v>
      </c>
      <c r="D14" s="59"/>
      <c r="E14" s="59"/>
      <c r="F14" s="20">
        <v>-3.02</v>
      </c>
      <c r="G14" s="18"/>
    </row>
    <row r="15" spans="1:7" ht="18">
      <c r="A15" s="15" t="s">
        <v>14</v>
      </c>
      <c r="B15" s="16"/>
      <c r="C15" s="16"/>
      <c r="D15" s="16"/>
      <c r="E15" s="16"/>
      <c r="F15" s="20"/>
      <c r="G15" s="18"/>
    </row>
    <row r="16" spans="1:7" ht="21">
      <c r="A16" s="53" t="s">
        <v>15</v>
      </c>
      <c r="B16" s="16" t="s">
        <v>16</v>
      </c>
      <c r="C16" s="16"/>
      <c r="D16" s="16"/>
      <c r="E16" s="16"/>
      <c r="F16" s="20">
        <v>0.82299999999999995</v>
      </c>
      <c r="G16" s="18"/>
    </row>
    <row r="17" spans="1:7" ht="18">
      <c r="A17" s="53"/>
      <c r="B17" s="21" t="s">
        <v>17</v>
      </c>
      <c r="C17" s="16"/>
      <c r="D17" s="16"/>
      <c r="E17" s="16"/>
      <c r="F17" s="20">
        <v>-175</v>
      </c>
      <c r="G17" s="18"/>
    </row>
    <row r="18" spans="1:7" ht="21">
      <c r="A18" s="53" t="s">
        <v>18</v>
      </c>
      <c r="B18" s="16" t="s">
        <v>19</v>
      </c>
      <c r="C18" s="16"/>
      <c r="D18" s="16"/>
      <c r="E18" s="16"/>
      <c r="F18" s="20">
        <v>2.8260000000000001</v>
      </c>
      <c r="G18" s="18"/>
    </row>
    <row r="19" spans="1:7" ht="18">
      <c r="A19" s="53"/>
      <c r="B19" s="21" t="s">
        <v>17</v>
      </c>
      <c r="C19" s="16"/>
      <c r="D19" s="16"/>
      <c r="E19" s="16"/>
      <c r="F19" s="20">
        <v>77</v>
      </c>
      <c r="G19" s="18"/>
    </row>
    <row r="20" spans="1:7" ht="21">
      <c r="A20" s="53" t="s">
        <v>20</v>
      </c>
      <c r="B20" s="16" t="s">
        <v>21</v>
      </c>
      <c r="C20" s="16"/>
      <c r="D20" s="16"/>
      <c r="E20" s="16"/>
      <c r="F20" s="20">
        <v>3.9E-2</v>
      </c>
      <c r="G20" s="18"/>
    </row>
    <row r="21" spans="1:7" ht="18">
      <c r="A21" s="53"/>
      <c r="B21" s="21" t="s">
        <v>17</v>
      </c>
      <c r="C21" s="16"/>
      <c r="D21" s="16"/>
      <c r="E21" s="16"/>
      <c r="F21" s="20">
        <v>14</v>
      </c>
      <c r="G21" s="18"/>
    </row>
    <row r="22" spans="1:7" ht="21">
      <c r="A22" s="53" t="s">
        <v>22</v>
      </c>
      <c r="B22" s="16" t="s">
        <v>23</v>
      </c>
      <c r="C22" s="16"/>
      <c r="D22" s="16"/>
      <c r="E22" s="16"/>
      <c r="F22" s="20">
        <v>0.78800000000000003</v>
      </c>
      <c r="G22" s="18"/>
    </row>
    <row r="23" spans="1:7" ht="18">
      <c r="A23" s="53"/>
      <c r="B23" s="21" t="s">
        <v>17</v>
      </c>
      <c r="C23" s="16"/>
      <c r="D23" s="16"/>
      <c r="E23" s="16"/>
      <c r="F23" s="20">
        <v>-173</v>
      </c>
      <c r="G23" s="18"/>
    </row>
    <row r="24" spans="1:7" ht="18">
      <c r="A24" s="60" t="s">
        <v>24</v>
      </c>
      <c r="B24" s="61"/>
      <c r="C24" s="61"/>
      <c r="D24" s="61"/>
      <c r="E24" s="61"/>
      <c r="F24" s="20">
        <v>50</v>
      </c>
      <c r="G24" s="18"/>
    </row>
    <row r="25" spans="1:7" ht="21">
      <c r="A25" s="15" t="s">
        <v>25</v>
      </c>
      <c r="B25" s="16"/>
      <c r="C25" s="16"/>
      <c r="D25" s="16"/>
      <c r="E25" s="16"/>
      <c r="F25" s="20">
        <v>1</v>
      </c>
      <c r="G25" s="18"/>
    </row>
    <row r="26" spans="1:7" ht="21.75" thickBot="1">
      <c r="A26" s="22" t="s">
        <v>26</v>
      </c>
      <c r="B26" s="23"/>
      <c r="C26" s="23"/>
      <c r="D26" s="23"/>
      <c r="E26" s="23"/>
      <c r="F26" s="24">
        <v>25</v>
      </c>
      <c r="G26" s="25"/>
    </row>
    <row r="27" spans="1:7" ht="18" hidden="1">
      <c r="A27" s="26"/>
      <c r="B27" s="27"/>
      <c r="C27" s="27"/>
      <c r="D27" s="27"/>
      <c r="E27" s="27"/>
      <c r="F27" s="27"/>
      <c r="G27" s="28"/>
    </row>
    <row r="28" spans="1:7" ht="18" hidden="1">
      <c r="A28" s="29" t="s">
        <v>27</v>
      </c>
      <c r="B28" s="30"/>
      <c r="C28" s="30"/>
      <c r="D28" s="30"/>
      <c r="E28" s="30"/>
      <c r="F28" s="30"/>
      <c r="G28" s="31"/>
    </row>
    <row r="29" spans="1:7" ht="18.75" hidden="1">
      <c r="A29" s="32" t="s">
        <v>28</v>
      </c>
      <c r="B29" s="30"/>
      <c r="C29" s="33" t="str">
        <f>IMPRODUCT(COMPLEX(F16,0),IMEXP(COMPLEX(0,F17*PI()/180)))</f>
        <v>-0,819868236529507-0,0717291762813201i</v>
      </c>
      <c r="D29" s="30"/>
      <c r="E29" s="30"/>
      <c r="F29" s="30"/>
      <c r="G29" s="31"/>
    </row>
    <row r="30" spans="1:7" ht="18.75" hidden="1">
      <c r="A30" s="32" t="s">
        <v>29</v>
      </c>
      <c r="B30" s="30"/>
      <c r="C30" s="33" t="str">
        <f>IMPRODUCT(COMPLEX(F18,0),IMEXP(COMPLEX(0,F19*PI()/180)))</f>
        <v>0,635711679575774+2,75356980308307i</v>
      </c>
      <c r="D30" s="30"/>
      <c r="E30" s="30"/>
      <c r="F30" s="30"/>
      <c r="G30" s="31"/>
    </row>
    <row r="31" spans="1:7" ht="18.75" hidden="1">
      <c r="A31" s="32" t="s">
        <v>30</v>
      </c>
      <c r="B31" s="30"/>
      <c r="C31" s="33" t="str">
        <f>IMPRODUCT(COMPLEX(F20,0),IMEXP(COMPLEX(0,F21*PI()/180)))</f>
        <v>0,0378415333247638+0,00943495392838705i</v>
      </c>
      <c r="D31" s="30"/>
      <c r="E31" s="30"/>
      <c r="F31" s="30"/>
      <c r="G31" s="31"/>
    </row>
    <row r="32" spans="1:7" ht="18.75" hidden="1">
      <c r="A32" s="32" t="s">
        <v>31</v>
      </c>
      <c r="B32" s="30"/>
      <c r="C32" s="33" t="str">
        <f>IMPRODUCT(COMPLEX(F22,0),IMEXP(COMPLEX(0,F23*PI()/180)))</f>
        <v>-0,782126367493362-0,0960330426032566i</v>
      </c>
      <c r="D32" s="30"/>
      <c r="E32" s="30"/>
      <c r="F32" s="30"/>
      <c r="G32" s="31"/>
    </row>
    <row r="33" spans="1:7" ht="18.75" hidden="1">
      <c r="A33" s="34" t="s">
        <v>32</v>
      </c>
      <c r="B33" s="30"/>
      <c r="C33" s="33" t="str">
        <f>IMSUB(IMPRODUCT(IMSUM(1,C29),IMSUM(1,C32)),IMPRODUCT(C31,C30))</f>
        <v>0,0342810901185006-0,143123711382648i</v>
      </c>
      <c r="D33" s="30"/>
      <c r="E33" s="30"/>
      <c r="F33" s="30"/>
      <c r="G33" s="31"/>
    </row>
    <row r="34" spans="1:7" ht="18.75" hidden="1">
      <c r="A34" s="32" t="s">
        <v>33</v>
      </c>
      <c r="B34" s="30"/>
      <c r="C34" s="33" t="str">
        <f>IMDIV(IMSUM(IMPRODUCT(IMSUB(1,C29),IMSUM(1,C32)),IMPRODUCT(C31,C30)),IMPRODUCT(C33,F24))</f>
        <v>0,0191762747151328+0,0515074673863068i</v>
      </c>
      <c r="D34" s="35"/>
      <c r="E34" s="36"/>
      <c r="F34" s="30"/>
      <c r="G34" s="37"/>
    </row>
    <row r="35" spans="1:7" ht="18.75" hidden="1">
      <c r="A35" s="32" t="s">
        <v>34</v>
      </c>
      <c r="B35" s="30"/>
      <c r="C35" s="33" t="str">
        <f>IMDIV(IMSUM(IMPRODUCT(IMSUM(1,C29),IMSUB(1,C32)),IMPRODUCT(C31,C30)),IMPRODUCT(C33,F24))</f>
        <v>0,0103630109650415+0,0430703855015142i</v>
      </c>
      <c r="D35" s="30"/>
      <c r="E35" s="30"/>
      <c r="F35" s="30"/>
      <c r="G35" s="31"/>
    </row>
    <row r="36" spans="1:7" ht="18.75" hidden="1">
      <c r="A36" s="32" t="s">
        <v>35</v>
      </c>
      <c r="B36" s="30"/>
      <c r="C36" s="33" t="str">
        <f>IMPRODUCT(-1,IMDIV(IMPRODUCT(2,C30),IMPRODUCT(C33,F24)))</f>
        <v>0,687562861746378-0,342353277003081i</v>
      </c>
      <c r="D36" s="30"/>
      <c r="E36" s="30"/>
      <c r="F36" s="30"/>
      <c r="G36" s="31"/>
    </row>
    <row r="37" spans="1:7" ht="18.75" hidden="1">
      <c r="A37" s="32" t="s">
        <v>36</v>
      </c>
      <c r="B37" s="30"/>
      <c r="C37" s="33" t="str">
        <f>IMPRODUCT(-1,IMDIV(IMPRODUCT(2,C31),IMPRODUCT(C33,F24)))</f>
        <v>0,0000980934709708801-0,01059939034178i</v>
      </c>
      <c r="D37" s="30"/>
      <c r="E37" s="30"/>
      <c r="F37" s="30"/>
      <c r="G37" s="31"/>
    </row>
    <row r="38" spans="1:7" ht="18.75" hidden="1">
      <c r="A38" s="32" t="s">
        <v>37</v>
      </c>
      <c r="B38" s="30"/>
      <c r="C38" s="33" t="str">
        <f>IMSUB(C34,IMDIV(IMPRODUCT(C37,C36),IMSUM(C35,COMPLEX(1/F24,0))))</f>
        <v>0,171667629849166+0,0763228036188389i</v>
      </c>
      <c r="D38" s="30"/>
      <c r="E38" s="30"/>
      <c r="F38" s="30"/>
      <c r="G38" s="31"/>
    </row>
    <row r="39" spans="1:7" ht="18.75" hidden="1">
      <c r="A39" s="32" t="s">
        <v>38</v>
      </c>
      <c r="B39" s="30"/>
      <c r="C39" s="33" t="str">
        <f>IMSUB(C35,IMDIV(IMPRODUCT(C37,C36),IMSUM(C34,COMPLEX(1/F24,0))))</f>
        <v>0,133726421490587+0,0677586168386025i</v>
      </c>
      <c r="D39" s="30"/>
      <c r="E39" s="30"/>
      <c r="F39" s="30"/>
      <c r="G39" s="31"/>
    </row>
    <row r="40" spans="1:7" ht="18.75" hidden="1">
      <c r="A40" s="32" t="s">
        <v>39</v>
      </c>
      <c r="B40" s="30"/>
      <c r="C40" s="33">
        <f>IMREAL(C38)</f>
        <v>0.171667629849166</v>
      </c>
      <c r="D40" s="30"/>
      <c r="E40" s="30"/>
      <c r="F40" s="30"/>
      <c r="G40" s="31"/>
    </row>
    <row r="41" spans="1:7" ht="18.75" hidden="1">
      <c r="A41" s="32" t="s">
        <v>40</v>
      </c>
      <c r="B41" s="30"/>
      <c r="C41" s="33">
        <f>-IMAGINARY(C38)</f>
        <v>-7.6322803618838905E-2</v>
      </c>
      <c r="D41" s="30"/>
      <c r="E41" s="30"/>
      <c r="F41" s="30"/>
      <c r="G41" s="31"/>
    </row>
    <row r="42" spans="1:7" ht="18" hidden="1">
      <c r="A42" s="32" t="s">
        <v>41</v>
      </c>
      <c r="B42" s="30"/>
      <c r="C42" s="33">
        <f>IMAGINARY(C38)/(2*PI()*F11*POWER(10,6))*POWER(10,12)</f>
        <v>80.98100977713473</v>
      </c>
      <c r="D42" s="30"/>
      <c r="E42" s="30"/>
      <c r="F42" s="30"/>
      <c r="G42" s="38">
        <f>F12</f>
        <v>48</v>
      </c>
    </row>
    <row r="43" spans="1:7" ht="18" hidden="1">
      <c r="A43" s="39" t="s">
        <v>42</v>
      </c>
      <c r="B43" s="30"/>
      <c r="C43" s="33">
        <f>IF(F13=0,POWER(POWER(IMREAL(C39),2)+POWER(IMAGINARY(C39),2),0.5),1/POWER(POWER(F13,2)+POWER(F14,2),0.5))</f>
        <v>0.15396846614540333</v>
      </c>
      <c r="D43" s="30"/>
      <c r="E43" s="33"/>
      <c r="F43" s="30"/>
      <c r="G43" s="38">
        <f>IF(F13=0,POWER(POWER(IMREAL(C39),2)+POWER(IMAGINARY(C39),2),0.5),1/POWER(POWER(F13,2)+POWER(F14,2),0.5))</f>
        <v>0.15396846614540333</v>
      </c>
    </row>
    <row r="44" spans="1:7" hidden="1">
      <c r="A44" s="40" t="s">
        <v>43</v>
      </c>
      <c r="B44" s="33"/>
      <c r="C44" s="33">
        <f>2*PI()*F11*POWER(10,6)*C42*POWER(10,-12)/C43</f>
        <v>0.49570412390003199</v>
      </c>
      <c r="D44" s="33"/>
      <c r="E44" s="33"/>
      <c r="F44" s="33"/>
      <c r="G44" s="38">
        <f>2*PI()*F11*POWER(10,6)*G42*POWER(10,-12)/C43</f>
        <v>0.29381947709325557</v>
      </c>
    </row>
    <row r="45" spans="1:7" hidden="1">
      <c r="A45" s="40" t="s">
        <v>44</v>
      </c>
      <c r="B45" s="33"/>
      <c r="C45" s="33">
        <f>POWER(2*PI()*F11*POWER(10,6),2)*POWER(C42*POWER(10,-12),2)*F5*(273+F26)/C43+2*F4*F25*POWER(10,-6)</f>
        <v>1.5590680260944826E-22</v>
      </c>
      <c r="D45" s="33"/>
      <c r="E45" s="33"/>
      <c r="F45" s="33"/>
      <c r="G45" s="38">
        <f>POWER(2*PI()*F11*POWER(10,6),2)*POWER(G42*POWER(10,-12),2)*F5*(273+F26)/G43+2*F4*F25*POWER(10,-6)</f>
        <v>5.4982549768706672E-23</v>
      </c>
    </row>
    <row r="46" spans="1:7" hidden="1">
      <c r="A46" s="40" t="s">
        <v>45</v>
      </c>
      <c r="B46" s="33"/>
      <c r="C46" s="33">
        <f>2/3*4*F5*(273+F26)/C43</f>
        <v>7.1224974012819298E-20</v>
      </c>
      <c r="D46" s="33"/>
      <c r="E46" s="33"/>
      <c r="F46" s="33"/>
      <c r="G46" s="38">
        <f>2/3*4*F5*(273+F26)/G43</f>
        <v>7.1224974012819298E-20</v>
      </c>
    </row>
    <row r="47" spans="1:7" hidden="1">
      <c r="A47" s="40" t="s">
        <v>46</v>
      </c>
      <c r="B47" s="33"/>
      <c r="C47" s="41">
        <f>1+2/F6*POWER(C45*C46,0.5)</f>
        <v>1.4051569900631813</v>
      </c>
      <c r="D47" s="33"/>
      <c r="E47" s="41">
        <f>10*LOG10(C47)</f>
        <v>1.4772484816233533</v>
      </c>
      <c r="F47" s="33" t="s">
        <v>47</v>
      </c>
      <c r="G47" s="42">
        <f>1+2/F6*POWER(G45*G46,0.5)</f>
        <v>1.2406042207491257</v>
      </c>
    </row>
    <row r="48" spans="1:7" hidden="1">
      <c r="A48" s="40" t="s">
        <v>48</v>
      </c>
      <c r="B48" s="33"/>
      <c r="C48" s="33">
        <f>POWER(C46/C45,0.5)</f>
        <v>21.373892326040863</v>
      </c>
      <c r="D48" s="33"/>
      <c r="E48" s="33"/>
      <c r="F48" s="33"/>
      <c r="G48" s="38">
        <f>POWER(G46/G45,0.5)</f>
        <v>35.991812004755595</v>
      </c>
    </row>
    <row r="49" spans="1:7" hidden="1">
      <c r="A49" s="40" t="s">
        <v>49</v>
      </c>
      <c r="B49" s="33"/>
      <c r="C49" s="33">
        <f>1.5/C43</f>
        <v>9.7422546158474024</v>
      </c>
      <c r="D49" s="33"/>
      <c r="E49" s="33"/>
      <c r="F49" s="33"/>
      <c r="G49" s="38">
        <f>1.5/G43</f>
        <v>9.7422546158474024</v>
      </c>
    </row>
    <row r="50" spans="1:7" hidden="1">
      <c r="A50" s="40" t="s">
        <v>50</v>
      </c>
      <c r="B50" s="33"/>
      <c r="C50" s="33">
        <f>POWER(2*PI()*F11*POWER(10,6)*C42*POWER(10,-12),2)/(4*C43)+F4*F25*POWER(10,-6)/(2*F5*(273+F26))</f>
        <v>9.4778476442860735E-3</v>
      </c>
      <c r="D50" s="33"/>
      <c r="E50" s="33"/>
      <c r="F50" s="33"/>
      <c r="G50" s="38">
        <f>POWER(2*PI()*F11*POWER(10,6)*G42*POWER(10,-12),2)/(4*G43)+F4*F25*POWER(10,-6)/(2*F5*(273+F26))</f>
        <v>3.3424855175023518E-3</v>
      </c>
    </row>
    <row r="51" spans="1:7" hidden="1">
      <c r="A51" s="40" t="s">
        <v>51</v>
      </c>
      <c r="B51" s="33"/>
      <c r="C51" s="33">
        <v>0</v>
      </c>
      <c r="D51" s="33"/>
      <c r="E51" s="33"/>
      <c r="F51" s="33"/>
      <c r="G51" s="38">
        <v>0</v>
      </c>
    </row>
    <row r="52" spans="1:7" hidden="1">
      <c r="A52" s="40" t="s">
        <v>52</v>
      </c>
      <c r="B52" s="33"/>
      <c r="C52" s="33">
        <f>-0.4*POWER(C49*C50,0.5)</f>
        <v>-0.12154709701895439</v>
      </c>
      <c r="D52" s="33"/>
      <c r="E52" s="33"/>
      <c r="F52" s="33"/>
      <c r="G52" s="38">
        <f>-0.4*POWER(G49*G50,0.5)</f>
        <v>-7.2181266224737708E-2</v>
      </c>
    </row>
    <row r="53" spans="1:7" hidden="1">
      <c r="A53" s="40" t="s">
        <v>53</v>
      </c>
      <c r="B53" s="33"/>
      <c r="C53" s="33">
        <f>POWER(C49*C50-POWER(C52,2),0.5)</f>
        <v>0.27849938629574988</v>
      </c>
      <c r="D53" s="33"/>
      <c r="E53" s="33"/>
      <c r="F53" s="33"/>
      <c r="G53" s="38">
        <f>POWER(G49*G50-POWER(G52,2),0.5)</f>
        <v>0.16538805811630997</v>
      </c>
    </row>
    <row r="54" spans="1:7" hidden="1">
      <c r="A54" s="40" t="s">
        <v>54</v>
      </c>
      <c r="B54" s="33"/>
      <c r="C54" s="33">
        <f>-C52</f>
        <v>0.12154709701895439</v>
      </c>
      <c r="D54" s="33"/>
      <c r="E54" s="33"/>
      <c r="F54" s="33"/>
      <c r="G54" s="38">
        <f>-G52</f>
        <v>7.2181266224737708E-2</v>
      </c>
    </row>
    <row r="55" spans="1:7" hidden="1">
      <c r="A55" s="40" t="s">
        <v>55</v>
      </c>
      <c r="B55" s="33"/>
      <c r="C55" s="41">
        <f>C47+(POWER(C40-C53,2)+POWER(C41-C54,2))/(C49*C40)</f>
        <v>1.4353917556687339</v>
      </c>
      <c r="D55" s="33"/>
      <c r="E55" s="41">
        <f>10*LOG10(C55)</f>
        <v>1.5697044748508207</v>
      </c>
      <c r="F55" s="33" t="s">
        <v>47</v>
      </c>
      <c r="G55" s="42">
        <f>G47+(POWER(C40-G53,2)+POWER(C41-G54,2))/(G49*C40)</f>
        <v>1.2538142773500307</v>
      </c>
    </row>
    <row r="56" spans="1:7" ht="15.75" hidden="1">
      <c r="A56" s="43" t="s">
        <v>56</v>
      </c>
      <c r="B56" s="33"/>
      <c r="C56" s="33">
        <f>IF(F12&gt;0,(3*G55+2*C55)/5,(3*C47+2*C55)/5)</f>
        <v>1.3264452686775119</v>
      </c>
      <c r="D56" s="33"/>
      <c r="E56" s="41">
        <f>10*LOG10(C56)</f>
        <v>1.2268933498044992</v>
      </c>
      <c r="F56" s="33" t="s">
        <v>47</v>
      </c>
      <c r="G56" s="44"/>
    </row>
    <row r="57" spans="1:7" ht="18">
      <c r="A57" s="62" t="s">
        <v>57</v>
      </c>
      <c r="B57" s="63"/>
      <c r="C57" s="63"/>
      <c r="D57" s="63"/>
      <c r="E57" s="63"/>
      <c r="F57" s="63"/>
      <c r="G57" s="45"/>
    </row>
    <row r="58" spans="1:7" ht="18.75" thickBot="1">
      <c r="A58" s="46" t="s">
        <v>58</v>
      </c>
      <c r="B58" s="47"/>
      <c r="C58" s="47"/>
      <c r="D58" s="47"/>
      <c r="E58" s="48"/>
      <c r="F58" s="49">
        <f>E56</f>
        <v>1.2268933498044992</v>
      </c>
      <c r="G58" s="50"/>
    </row>
    <row r="59" spans="1:7" ht="18">
      <c r="A59" s="51" t="s">
        <v>59</v>
      </c>
      <c r="B59" s="52" t="s">
        <v>60</v>
      </c>
      <c r="C59" s="10"/>
      <c r="D59" s="10"/>
      <c r="E59" s="10"/>
      <c r="F59" s="10"/>
      <c r="G59" s="10"/>
    </row>
  </sheetData>
  <sheetProtection password="EC1A" sheet="1" objects="1" scenarios="1"/>
  <mergeCells count="11">
    <mergeCell ref="A18:A19"/>
    <mergeCell ref="A20:A21"/>
    <mergeCell ref="A22:A23"/>
    <mergeCell ref="A24:E24"/>
    <mergeCell ref="A57:F57"/>
    <mergeCell ref="A16:A17"/>
    <mergeCell ref="A1:F1"/>
    <mergeCell ref="F8:G8"/>
    <mergeCell ref="A13:B14"/>
    <mergeCell ref="C13:E13"/>
    <mergeCell ref="C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2009-09-08T17:39:15Z</dcterms:created>
  <dcterms:modified xsi:type="dcterms:W3CDTF">2009-09-09T15:49:28Z</dcterms:modified>
</cp:coreProperties>
</file>